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mc:AlternateContent xmlns:mc="http://schemas.openxmlformats.org/markup-compatibility/2006">
    <mc:Choice Requires="x15">
      <x15ac:absPath xmlns:x15ac="http://schemas.microsoft.com/office/spreadsheetml/2010/11/ac" url="C:\Users\timo.CVJM\Documents\Buchhaltung und Finanzen\"/>
    </mc:Choice>
  </mc:AlternateContent>
  <xr:revisionPtr revIDLastSave="0" documentId="13_ncr:1_{0BB369B2-8CEB-4D14-BC5E-19BCA0EFDF43}" xr6:coauthVersionLast="47" xr6:coauthVersionMax="47" xr10:uidLastSave="{00000000-0000-0000-0000-000000000000}"/>
  <bookViews>
    <workbookView xWindow="-120" yWindow="-120" windowWidth="25440" windowHeight="15390" xr2:uid="{00000000-000D-0000-FFFF-FFFF00000000}"/>
  </bookViews>
  <sheets>
    <sheet name="Tabelle1" sheetId="1" r:id="rId1"/>
  </sheets>
  <definedNames>
    <definedName name="_xlnm._FilterDatabase" localSheetId="0" hidden="1">Tabelle1!$A$1:$N$28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10" i="1"/>
  <c r="M28" i="1"/>
  <c r="M27" i="1"/>
  <c r="M22" i="1"/>
  <c r="M21" i="1"/>
  <c r="M20" i="1"/>
  <c r="M19" i="1"/>
  <c r="N6" i="1"/>
  <c r="L15" i="1"/>
  <c r="L14" i="1"/>
  <c r="L13" i="1"/>
  <c r="L12" i="1"/>
  <c r="L11" i="1"/>
  <c r="L10" i="1"/>
  <c r="L9" i="1"/>
  <c r="L8" i="1"/>
  <c r="L7" i="1"/>
  <c r="L6" i="1"/>
  <c r="L5" i="1"/>
  <c r="I5" i="1"/>
  <c r="N5" i="1" s="1"/>
  <c r="K15" i="1"/>
  <c r="K14" i="1"/>
  <c r="K13" i="1"/>
  <c r="N13" i="1" s="1"/>
  <c r="K12" i="1"/>
  <c r="K11" i="1"/>
  <c r="K10" i="1"/>
  <c r="K9" i="1"/>
  <c r="K8" i="1"/>
  <c r="K7" i="1"/>
  <c r="K6" i="1"/>
  <c r="K5" i="1"/>
  <c r="J15" i="1"/>
  <c r="J14" i="1"/>
  <c r="J13" i="1"/>
  <c r="J12" i="1"/>
  <c r="J11" i="1"/>
  <c r="J10" i="1"/>
  <c r="J9" i="1"/>
  <c r="J8" i="1"/>
  <c r="J7" i="1"/>
  <c r="J6" i="1"/>
  <c r="J5" i="1"/>
  <c r="I15" i="1"/>
  <c r="I14" i="1"/>
  <c r="I13" i="1"/>
  <c r="I12" i="1"/>
  <c r="N12" i="1" s="1"/>
  <c r="I11" i="1"/>
  <c r="N11" i="1" s="1"/>
  <c r="I10" i="1"/>
  <c r="I9" i="1"/>
  <c r="I8" i="1"/>
  <c r="I7" i="1"/>
  <c r="I6" i="1"/>
  <c r="N27" i="1" l="1"/>
  <c r="F5" i="1" s="1"/>
  <c r="N14" i="1"/>
  <c r="F10" i="1"/>
  <c r="N15" i="1"/>
  <c r="N8" i="1"/>
  <c r="N9" i="1"/>
  <c r="N19" i="1"/>
  <c r="F6" i="1" l="1"/>
  <c r="G6" i="1" s="1"/>
  <c r="G5" i="1"/>
  <c r="A12" i="1"/>
  <c r="G7" i="1"/>
  <c r="G12" i="1" l="1"/>
  <c r="F8" i="1"/>
  <c r="G8" i="1" s="1"/>
  <c r="G10" i="1"/>
  <c r="F9" i="1"/>
  <c r="G9" i="1" l="1"/>
  <c r="E16" i="1" s="1"/>
  <c r="E17" i="1" s="1"/>
</calcChain>
</file>

<file path=xl/sharedStrings.xml><?xml version="1.0" encoding="utf-8"?>
<sst xmlns="http://schemas.openxmlformats.org/spreadsheetml/2006/main" count="62" uniqueCount="53">
  <si>
    <t>Wieviele Nächte kommen Sie zu uns?</t>
  </si>
  <si>
    <t>Liegt ihr Aufenthalt im Zeitraum Oktober bis April?</t>
  </si>
  <si>
    <t>Wieviele Teilnehmende im Alter von 0-2 Jahren?</t>
  </si>
  <si>
    <t>Wieviele Teilnehmende im Alter von 3-6 Jahren?</t>
  </si>
  <si>
    <t>Wieviele Teilnehmende im Alter von 7-26 Jahren?</t>
  </si>
  <si>
    <t>Wieviele Teilnehmende im Alter von 27 und älter?</t>
  </si>
  <si>
    <t>In welchem Jahr kommen Sie zu uns?</t>
  </si>
  <si>
    <t>Preisliste</t>
  </si>
  <si>
    <t>Wünschen Sie Selbst- oder Vollverpflegung oder "Plus"?</t>
  </si>
  <si>
    <t>SV</t>
  </si>
  <si>
    <t>SV Kind</t>
  </si>
  <si>
    <t>SV Jugend</t>
  </si>
  <si>
    <t>SV Erwachsen</t>
  </si>
  <si>
    <t>VV Kind</t>
  </si>
  <si>
    <t>VV Jugend</t>
  </si>
  <si>
    <t>VV Erwachsen</t>
  </si>
  <si>
    <t>VV+ Kind</t>
  </si>
  <si>
    <t>VV+ Jugend</t>
  </si>
  <si>
    <t>VV+ Erwachsen</t>
  </si>
  <si>
    <t>Kalkulation</t>
  </si>
  <si>
    <t>VV</t>
  </si>
  <si>
    <t>VV+</t>
  </si>
  <si>
    <t>Preis p.P./N.</t>
  </si>
  <si>
    <t>Ja</t>
  </si>
  <si>
    <t>Summe</t>
  </si>
  <si>
    <t>Die Summe für Ihren Aufenthalt beträgt kalkuliert:</t>
  </si>
  <si>
    <t>Das entspricht einem Durchschnittspreis von:</t>
  </si>
  <si>
    <t>für die Gruppe</t>
  </si>
  <si>
    <t>pro Person</t>
  </si>
  <si>
    <t>Küche GZH</t>
  </si>
  <si>
    <t>Küche HKH</t>
  </si>
  <si>
    <t>GZH</t>
  </si>
  <si>
    <t>Jahre</t>
  </si>
  <si>
    <t>Nächte</t>
  </si>
  <si>
    <t>Dropdown</t>
  </si>
  <si>
    <t>Heizen</t>
  </si>
  <si>
    <t>Nein</t>
  </si>
  <si>
    <t>Verpflegung</t>
  </si>
  <si>
    <t>Küche</t>
  </si>
  <si>
    <t>Keine</t>
  </si>
  <si>
    <t>HKH</t>
  </si>
  <si>
    <t>Kostenkalkulation für den Aufenthalt</t>
  </si>
  <si>
    <t>Liebe Gäste, mit diesem Excel-Tool versuchen wir Ihnen eine schnelle Kostenübersicht zu ermöglichen. Bitte bedenken Sie, dass wir nicht alle Sonderfälle abdecken können. Durch Zusatzangebote oder Einzelzimmernutzung etc. können Zusatzkosten entstehen, die wir hier leider nicht abbilden können. Für die Abrechnung verbindlich ist immer die erbrachte Leistung, die Rechnung des Hauses, niemals dieses Kalkulations-Tool. Wir bitten Sie dies nur als Unterstützung für Ihre Planung zu sehen. Bitte füllen Sie lediglich die grauen Kästchen mittels Drop-Down-Auswahl aus. Für Beherbergungen über die Jahresauswahl hinaus nutzen Sie bitte immer das letztmögliche Jahr (für 2025 z.B. das Jahr 2024 sofern dieses in der Auswahl vorhanden ist, sonst 2023.) Rechtsgültigkeit besitzen nur die Rechnung sowie unsere Preislisten. Es entsteht kein Anspruch aus dieser Kalkulation für Ihren Aufenthalt.</t>
  </si>
  <si>
    <t>Abkürzungsverzeichnis:</t>
  </si>
  <si>
    <t>Selbstverpflegung</t>
  </si>
  <si>
    <t>Gemeinschaftszelthaus</t>
  </si>
  <si>
    <t>Hermann-Kupsch-Haus</t>
  </si>
  <si>
    <t>Vollverpflegung für Jugendgruppen</t>
  </si>
  <si>
    <t>Tagungsverpflegung für Firmen / Seminare</t>
  </si>
  <si>
    <t>Heizkosten</t>
  </si>
  <si>
    <t>HK Gesamt</t>
  </si>
  <si>
    <t>Einzelnacht</t>
  </si>
  <si>
    <t>EN 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</si>
</sst>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sz val="10"/>
      <color theme="0"/>
      <name val="Calibri"/>
      <family val="2"/>
      <scheme val="minor"/>
    </font>
    <font>
      <b/>
      <sz val="10"/>
      <color theme="1"/>
      <name val="Calibri"/>
      <family val="2"/>
      <scheme val="minor"/>
    </font>
    <font>
      <i/>
      <sz val="11"/>
      <color theme="1"/>
      <name val="Calibri"/>
      <family val="2"/>
      <scheme val="minor"/>
    </font>
    <font>
      <sz val="9"/>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2"/>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0" xfId="0" applyFont="1" applyAlignment="1">
      <alignment horizontal="center"/>
    </xf>
    <xf numFmtId="0" fontId="4" fillId="0" borderId="0" xfId="0" applyFont="1"/>
    <xf numFmtId="8"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0" fontId="6" fillId="0" borderId="1" xfId="0" applyFont="1" applyBorder="1"/>
    <xf numFmtId="0" fontId="6" fillId="0" borderId="1" xfId="0" applyFont="1" applyBorder="1" applyAlignment="1">
      <alignment horizontal="center"/>
    </xf>
    <xf numFmtId="164" fontId="6" fillId="0" borderId="1" xfId="0" applyNumberFormat="1" applyFont="1" applyBorder="1" applyAlignment="1">
      <alignment horizontal="center"/>
    </xf>
    <xf numFmtId="164" fontId="6" fillId="0" borderId="1" xfId="0" applyNumberFormat="1" applyFont="1" applyBorder="1"/>
    <xf numFmtId="8" fontId="6" fillId="0" borderId="1" xfId="0" applyNumberFormat="1" applyFont="1" applyBorder="1" applyAlignment="1">
      <alignment horizontal="center"/>
    </xf>
    <xf numFmtId="8" fontId="6" fillId="0" borderId="1" xfId="0" applyNumberFormat="1" applyFont="1" applyBorder="1"/>
    <xf numFmtId="164" fontId="1" fillId="3" borderId="3" xfId="0" applyNumberFormat="1" applyFont="1" applyFill="1" applyBorder="1"/>
    <xf numFmtId="164" fontId="1" fillId="3" borderId="6" xfId="0" applyNumberFormat="1" applyFont="1" applyFill="1" applyBorder="1"/>
    <xf numFmtId="0" fontId="0" fillId="2" borderId="1" xfId="0" applyFill="1" applyBorder="1" applyAlignment="1" applyProtection="1">
      <alignment horizontal="center"/>
      <protection locked="0"/>
    </xf>
    <xf numFmtId="8" fontId="2" fillId="0" borderId="0" xfId="0" applyNumberFormat="1" applyFont="1"/>
    <xf numFmtId="0" fontId="5" fillId="0" borderId="1" xfId="0" applyFont="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3" fillId="0" borderId="0" xfId="0" applyFont="1" applyAlignment="1">
      <alignment horizontal="center" vertical="center"/>
    </xf>
    <xf numFmtId="0" fontId="0" fillId="0" borderId="1" xfId="0"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7" fillId="0" borderId="0" xfId="0" applyFont="1" applyAlignment="1">
      <alignment horizontal="center" vertical="center" wrapText="1"/>
    </xf>
    <xf numFmtId="0" fontId="8" fillId="0" borderId="0" xfId="0" applyFont="1"/>
    <xf numFmtId="164" fontId="2" fillId="0" borderId="0" xfId="0" applyNumberFormat="1" applyFont="1"/>
    <xf numFmtId="0" fontId="2" fillId="0" borderId="0" xfId="0" applyFont="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58"/>
  <sheetViews>
    <sheetView tabSelected="1" view="pageLayout" zoomScaleNormal="100" workbookViewId="0">
      <selection activeCell="E6" sqref="E6"/>
    </sheetView>
  </sheetViews>
  <sheetFormatPr baseColWidth="10" defaultRowHeight="15" x14ac:dyDescent="0.25"/>
  <cols>
    <col min="7" max="7" width="13.7109375" bestFit="1" customWidth="1"/>
  </cols>
  <sheetData>
    <row r="1" spans="1:14" x14ac:dyDescent="0.25">
      <c r="A1" s="20" t="s">
        <v>41</v>
      </c>
      <c r="B1" s="20"/>
      <c r="C1" s="20"/>
      <c r="D1" s="20"/>
      <c r="E1" s="20"/>
      <c r="F1" s="20"/>
      <c r="G1" s="20"/>
      <c r="H1" s="31" t="s">
        <v>7</v>
      </c>
      <c r="I1" s="31"/>
      <c r="J1" s="31"/>
      <c r="K1" s="31"/>
      <c r="L1" s="31"/>
      <c r="M1" s="31"/>
      <c r="N1" s="31"/>
    </row>
    <row r="2" spans="1:14" x14ac:dyDescent="0.25">
      <c r="A2" s="20"/>
      <c r="B2" s="20"/>
      <c r="C2" s="20"/>
      <c r="D2" s="20"/>
      <c r="E2" s="20"/>
      <c r="F2" s="20"/>
      <c r="G2" s="20"/>
      <c r="H2" s="31"/>
      <c r="I2" s="31"/>
      <c r="J2" s="31"/>
      <c r="K2" s="31"/>
      <c r="L2" s="31"/>
      <c r="M2" s="31"/>
      <c r="N2" s="31"/>
    </row>
    <row r="3" spans="1:14" ht="132" customHeight="1" x14ac:dyDescent="0.25">
      <c r="A3" s="28" t="s">
        <v>42</v>
      </c>
      <c r="B3" s="28"/>
      <c r="C3" s="28"/>
      <c r="D3" s="28"/>
      <c r="E3" s="28"/>
      <c r="F3" s="28"/>
      <c r="G3" s="28"/>
      <c r="H3" s="6"/>
      <c r="I3" s="6"/>
      <c r="J3" s="6"/>
      <c r="K3" s="6"/>
      <c r="L3" s="6"/>
      <c r="M3" s="6"/>
      <c r="N3" s="6"/>
    </row>
    <row r="4" spans="1:14" x14ac:dyDescent="0.25">
      <c r="A4" s="17" t="s">
        <v>6</v>
      </c>
      <c r="B4" s="17"/>
      <c r="C4" s="17"/>
      <c r="D4" s="17"/>
      <c r="E4" s="15">
        <v>2025</v>
      </c>
      <c r="F4" s="7" t="s">
        <v>22</v>
      </c>
      <c r="G4" s="8" t="s">
        <v>24</v>
      </c>
      <c r="H4" s="1"/>
      <c r="I4" s="2">
        <v>2023</v>
      </c>
      <c r="J4" s="2">
        <v>2024</v>
      </c>
      <c r="K4" s="2">
        <v>2025</v>
      </c>
      <c r="L4" s="2">
        <v>2026</v>
      </c>
      <c r="M4" s="1"/>
      <c r="N4" s="1" t="s">
        <v>19</v>
      </c>
    </row>
    <row r="5" spans="1:14" x14ac:dyDescent="0.25">
      <c r="A5" s="17" t="s">
        <v>0</v>
      </c>
      <c r="B5" s="17"/>
      <c r="C5" s="17"/>
      <c r="D5" s="17"/>
      <c r="E5" s="15">
        <v>2</v>
      </c>
      <c r="F5" s="9" t="str">
        <f>IF(E5&lt;2,N27," ")</f>
        <v xml:space="preserve"> </v>
      </c>
      <c r="G5" s="10" t="str">
        <f>IF(E5&lt;2,SUM(E8:E10)*F5," ")</f>
        <v xml:space="preserve"> </v>
      </c>
      <c r="H5" s="3" t="s">
        <v>10</v>
      </c>
      <c r="I5" s="4">
        <f>IF(E4=2023,"9,10€",0)</f>
        <v>0</v>
      </c>
      <c r="J5" s="4">
        <f>IF(E4=2024,"9,75€",0)</f>
        <v>0</v>
      </c>
      <c r="K5" s="4" t="str">
        <f>IF(E4=2025,"10,25€",0)</f>
        <v>10,25€</v>
      </c>
      <c r="L5" s="4">
        <f>IF(E4=2026,"14,25€",0)</f>
        <v>0</v>
      </c>
      <c r="M5" s="4"/>
      <c r="N5" s="5">
        <f>IF(E11="SV",I5+J5+K5+L5,0)</f>
        <v>0</v>
      </c>
    </row>
    <row r="6" spans="1:14" x14ac:dyDescent="0.25">
      <c r="A6" s="17" t="s">
        <v>1</v>
      </c>
      <c r="B6" s="17"/>
      <c r="C6" s="17"/>
      <c r="D6" s="17"/>
      <c r="E6" s="15" t="s">
        <v>36</v>
      </c>
      <c r="F6" s="9">
        <f>IF(E6="Ja",N19,0)</f>
        <v>0</v>
      </c>
      <c r="G6" s="10">
        <f>(E8+E9+E10)*E5*F6</f>
        <v>0</v>
      </c>
      <c r="H6" s="3" t="s">
        <v>11</v>
      </c>
      <c r="I6" s="4">
        <f>IF(E4=2023,"18,70€",0)</f>
        <v>0</v>
      </c>
      <c r="J6" s="4">
        <f>IF(E4=2024,"19,95€",0)</f>
        <v>0</v>
      </c>
      <c r="K6" s="4" t="str">
        <f>IF(E4=2025,"20,95€",0)</f>
        <v>20,95€</v>
      </c>
      <c r="L6" s="4">
        <f>IF(E4=2026,"24,95€",0)</f>
        <v>0</v>
      </c>
      <c r="M6" s="4"/>
      <c r="N6" s="5">
        <f>IF(E11="SV",I6+J6+K6+L6,0)</f>
        <v>0</v>
      </c>
    </row>
    <row r="7" spans="1:14" x14ac:dyDescent="0.25">
      <c r="A7" s="17" t="s">
        <v>2</v>
      </c>
      <c r="B7" s="17"/>
      <c r="C7" s="17"/>
      <c r="D7" s="17"/>
      <c r="E7" s="15">
        <v>0</v>
      </c>
      <c r="F7" s="11">
        <v>0</v>
      </c>
      <c r="G7" s="12">
        <f>E7*F7</f>
        <v>0</v>
      </c>
      <c r="H7" s="3" t="s">
        <v>12</v>
      </c>
      <c r="I7" s="4">
        <f>IF(E4=2023,"21,35€",0)</f>
        <v>0</v>
      </c>
      <c r="J7" s="4">
        <f>IF(E4=2024,"22,85€",0)</f>
        <v>0</v>
      </c>
      <c r="K7" s="4" t="str">
        <f>IF(E4=2025,"23,95€",0)</f>
        <v>23,95€</v>
      </c>
      <c r="L7" s="4">
        <f>IF(E4=2026,"27,95€",0)</f>
        <v>0</v>
      </c>
      <c r="M7" s="4"/>
      <c r="N7" s="5">
        <f>IF(E11="SV",I7+J7+K7+L7,0)</f>
        <v>0</v>
      </c>
    </row>
    <row r="8" spans="1:14" x14ac:dyDescent="0.25">
      <c r="A8" s="17" t="s">
        <v>3</v>
      </c>
      <c r="B8" s="17"/>
      <c r="C8" s="17"/>
      <c r="D8" s="17"/>
      <c r="E8" s="15">
        <v>0</v>
      </c>
      <c r="F8" s="9">
        <f>N5+N8+N11</f>
        <v>19.649999999999999</v>
      </c>
      <c r="G8" s="12">
        <f>E8*E5*F8</f>
        <v>0</v>
      </c>
      <c r="H8" s="3" t="s">
        <v>13</v>
      </c>
      <c r="I8" s="4">
        <f>IF(E4=2023,"17,40€",0)</f>
        <v>0</v>
      </c>
      <c r="J8" s="4">
        <f>IF(E4=2024,"18,60€",0)</f>
        <v>0</v>
      </c>
      <c r="K8" s="4" t="str">
        <f>IF(E4=2025,"19,65€",0)</f>
        <v>19,65€</v>
      </c>
      <c r="L8" s="4">
        <f>IF(E4=2026,"25,65€",0)</f>
        <v>0</v>
      </c>
      <c r="M8" s="4"/>
      <c r="N8" s="5">
        <f>IF(E11="VV",I8+J8+K8+L8,0)</f>
        <v>19.649999999999999</v>
      </c>
    </row>
    <row r="9" spans="1:14" x14ac:dyDescent="0.25">
      <c r="A9" s="17" t="s">
        <v>4</v>
      </c>
      <c r="B9" s="17"/>
      <c r="C9" s="17"/>
      <c r="D9" s="17"/>
      <c r="E9" s="15">
        <v>0</v>
      </c>
      <c r="F9" s="9">
        <f>N6+N9+N12</f>
        <v>39.950000000000003</v>
      </c>
      <c r="G9" s="12">
        <f>E9*E5*F9</f>
        <v>0</v>
      </c>
      <c r="H9" s="3" t="s">
        <v>14</v>
      </c>
      <c r="I9" s="4">
        <f>IF(E4=2023,"35,95€",0)</f>
        <v>0</v>
      </c>
      <c r="J9" s="4">
        <f>IF(E4=2024,"38,45€",0)</f>
        <v>0</v>
      </c>
      <c r="K9" s="4" t="str">
        <f>IF(E4=2025,"39,95€",0)</f>
        <v>39,95€</v>
      </c>
      <c r="L9" s="4">
        <f>IF(E4=2026,"48,00€",0)</f>
        <v>0</v>
      </c>
      <c r="M9" s="4"/>
      <c r="N9" s="5">
        <f>IF(E11="VV",I9+J9+K9+L9,0)</f>
        <v>39.950000000000003</v>
      </c>
    </row>
    <row r="10" spans="1:14" x14ac:dyDescent="0.25">
      <c r="A10" s="17" t="s">
        <v>5</v>
      </c>
      <c r="B10" s="17"/>
      <c r="C10" s="17"/>
      <c r="D10" s="17"/>
      <c r="E10" s="15">
        <v>0</v>
      </c>
      <c r="F10" s="9">
        <f>N7+N10+N13</f>
        <v>48.6</v>
      </c>
      <c r="G10" s="12">
        <f>E10*E5*F10</f>
        <v>0</v>
      </c>
      <c r="H10" s="3" t="s">
        <v>15</v>
      </c>
      <c r="I10" s="4">
        <f>IF(E4=2023,"43,30€",0)</f>
        <v>0</v>
      </c>
      <c r="J10" s="4">
        <f>IF(E4=2024,"46,30€",0)</f>
        <v>0</v>
      </c>
      <c r="K10" s="4" t="str">
        <f>IF(E4=2025,"48,60€",0)</f>
        <v>48,60€</v>
      </c>
      <c r="L10" s="4">
        <f>IF(E4=2026,"54,90€",0)</f>
        <v>0</v>
      </c>
      <c r="M10" s="4"/>
      <c r="N10" s="5">
        <f>IF(E11="VV",I10+J10+K10+L10,0)</f>
        <v>48.6</v>
      </c>
    </row>
    <row r="11" spans="1:14" x14ac:dyDescent="0.25">
      <c r="A11" s="17" t="s">
        <v>8</v>
      </c>
      <c r="B11" s="17"/>
      <c r="C11" s="17"/>
      <c r="D11" s="17"/>
      <c r="E11" s="15" t="s">
        <v>20</v>
      </c>
      <c r="F11" s="8"/>
      <c r="G11" s="7"/>
      <c r="H11" s="3" t="s">
        <v>16</v>
      </c>
      <c r="I11" s="4">
        <f>IF(E4=2023,"17,40€",0)</f>
        <v>0</v>
      </c>
      <c r="J11" s="4">
        <f>IF(E4=2024,"18,60€",0)</f>
        <v>0</v>
      </c>
      <c r="K11" s="4" t="str">
        <f>IF(E4=2025,"19,65€",0)</f>
        <v>19,65€</v>
      </c>
      <c r="L11" s="4">
        <f>IF(E4=2026,"27,65€",0)</f>
        <v>0</v>
      </c>
      <c r="M11" s="4"/>
      <c r="N11" s="5">
        <f>IF(E11="VV+",I11+J11+K11+L11,0)</f>
        <v>0</v>
      </c>
    </row>
    <row r="12" spans="1:14" x14ac:dyDescent="0.25">
      <c r="A12" s="17" t="str">
        <f>IF(E11="SV","Mit welcher Küche wird geplant? (GZH = bis 60 Pers.)","Hier bitte bei Vollverpflegung keine Küche auswählen")</f>
        <v>Hier bitte bei Vollverpflegung keine Küche auswählen</v>
      </c>
      <c r="B12" s="17"/>
      <c r="C12" s="17"/>
      <c r="D12" s="17"/>
      <c r="E12" s="15" t="s">
        <v>39</v>
      </c>
      <c r="F12" s="7"/>
      <c r="G12" s="12">
        <f>IF(E12="GZH",N14,IF(E12="HKH",N15,0))</f>
        <v>0</v>
      </c>
      <c r="H12" s="3" t="s">
        <v>17</v>
      </c>
      <c r="I12" s="4">
        <f>IF(E4=2023,"40,50€",0)</f>
        <v>0</v>
      </c>
      <c r="J12" s="4">
        <f>IF(E4=2024,"43,35€",0)</f>
        <v>0</v>
      </c>
      <c r="K12" s="4" t="str">
        <f>IF(E4=2025,"45,50€",0)</f>
        <v>45,50€</v>
      </c>
      <c r="L12" s="4">
        <f>IF(E4=2026,"51,50€",0)</f>
        <v>0</v>
      </c>
      <c r="M12" s="4"/>
      <c r="N12" s="5">
        <f>IF(E11="VV+",I12+J12+K12+L12,0)</f>
        <v>0</v>
      </c>
    </row>
    <row r="13" spans="1:14" x14ac:dyDescent="0.25">
      <c r="H13" s="3" t="s">
        <v>18</v>
      </c>
      <c r="I13" s="4">
        <f>IF(E4=2023,"49,20€",0)</f>
        <v>0</v>
      </c>
      <c r="J13" s="4">
        <f>IF(E4=2024,"52,65€",0)</f>
        <v>0</v>
      </c>
      <c r="K13" s="4" t="str">
        <f>IF(E4=2025,"55,30€",0)</f>
        <v>55,30€</v>
      </c>
      <c r="L13" s="4">
        <f>IF(E4=2026,"61,90€",0)</f>
        <v>0</v>
      </c>
      <c r="M13" s="4"/>
      <c r="N13" s="5">
        <f>IF(E11="VV+",I13+J13+K13+L13,0)</f>
        <v>0</v>
      </c>
    </row>
    <row r="14" spans="1:14" x14ac:dyDescent="0.25">
      <c r="H14" s="3" t="s">
        <v>29</v>
      </c>
      <c r="I14" s="5">
        <f>IF(E4=2023,IF(E5&lt;3,143,IF(E5&gt;4,239,193)),0)</f>
        <v>0</v>
      </c>
      <c r="J14" s="5">
        <f>IF(E4=2024,IF(E5&lt;3,155,IF(E5&gt;4,255,205)),0)</f>
        <v>0</v>
      </c>
      <c r="K14" s="5">
        <f>IF(E4=2025,IF(E5&lt;3,175,IF(E5&gt;4,275,215)),0)</f>
        <v>175</v>
      </c>
      <c r="L14" s="5">
        <f>IF(E4=2026,IF(E5&lt;3,255,IF(E5&gt;4,375,300)),0)</f>
        <v>0</v>
      </c>
      <c r="M14" s="1"/>
      <c r="N14" s="5">
        <f>IF(E11="SV",I14+J14+K14+L14,0)</f>
        <v>0</v>
      </c>
    </row>
    <row r="15" spans="1:14" x14ac:dyDescent="0.25">
      <c r="H15" s="3" t="s">
        <v>30</v>
      </c>
      <c r="I15" s="5">
        <f>IF(E4=2023,IF(E5&lt;3,405,IF(E5&gt;4,599,535)),0)</f>
        <v>0</v>
      </c>
      <c r="J15" s="5">
        <f>IF(E4=2024,IF(E5&lt;3,430,IF(E5&gt;4,640,570)),0)</f>
        <v>0</v>
      </c>
      <c r="K15" s="5">
        <f>IF(E4=2025,IF(E5&lt;3,475,IF(E5&gt;4,675,599)),0)</f>
        <v>475</v>
      </c>
      <c r="L15" s="5">
        <f>IF(E4=2026,IF(E5&lt;3,575,IF(E5&gt;4,775,699)),0)</f>
        <v>0</v>
      </c>
      <c r="M15" s="1"/>
      <c r="N15" s="5">
        <f>IF(E11="SV",I15+J15+K15+L15,0)</f>
        <v>0</v>
      </c>
    </row>
    <row r="16" spans="1:14" x14ac:dyDescent="0.25">
      <c r="A16" s="18" t="s">
        <v>25</v>
      </c>
      <c r="B16" s="19"/>
      <c r="C16" s="19"/>
      <c r="D16" s="19"/>
      <c r="E16" s="13">
        <f>SUM(G6:G12)</f>
        <v>0</v>
      </c>
      <c r="F16" s="24" t="s">
        <v>27</v>
      </c>
      <c r="G16" s="25"/>
      <c r="H16" s="1"/>
      <c r="I16" s="1"/>
      <c r="J16" s="1"/>
      <c r="K16" s="1"/>
      <c r="L16" s="1"/>
      <c r="M16" s="1"/>
      <c r="N16" s="1"/>
    </row>
    <row r="17" spans="1:14" x14ac:dyDescent="0.25">
      <c r="A17" s="22" t="s">
        <v>26</v>
      </c>
      <c r="B17" s="23"/>
      <c r="C17" s="23"/>
      <c r="D17" s="23"/>
      <c r="E17" s="14" t="e">
        <f>E16/SUM(E7:E10)</f>
        <v>#DIV/0!</v>
      </c>
      <c r="F17" s="26" t="s">
        <v>28</v>
      </c>
      <c r="G17" s="27"/>
      <c r="H17" s="3" t="s">
        <v>34</v>
      </c>
      <c r="I17" s="1"/>
      <c r="J17" s="1"/>
      <c r="K17" s="1"/>
      <c r="L17" s="1"/>
      <c r="M17" s="1"/>
      <c r="N17" s="1"/>
    </row>
    <row r="18" spans="1:14" x14ac:dyDescent="0.25">
      <c r="H18" s="3" t="s">
        <v>32</v>
      </c>
      <c r="I18" s="1" t="s">
        <v>33</v>
      </c>
      <c r="J18" s="1" t="s">
        <v>35</v>
      </c>
      <c r="K18" s="1" t="s">
        <v>37</v>
      </c>
      <c r="L18" s="1" t="s">
        <v>38</v>
      </c>
      <c r="M18" s="1" t="s">
        <v>49</v>
      </c>
      <c r="N18" s="1" t="s">
        <v>50</v>
      </c>
    </row>
    <row r="19" spans="1:14" x14ac:dyDescent="0.25">
      <c r="H19" s="1">
        <v>2023</v>
      </c>
      <c r="I19" s="1">
        <v>1</v>
      </c>
      <c r="J19" s="1" t="s">
        <v>23</v>
      </c>
      <c r="K19" s="1" t="s">
        <v>9</v>
      </c>
      <c r="L19" s="1" t="s">
        <v>39</v>
      </c>
      <c r="M19" s="4">
        <f>IF(E4=2023,"2,60€",0)</f>
        <v>0</v>
      </c>
      <c r="N19" s="16">
        <f>M19+M20+M21+M22</f>
        <v>2.75</v>
      </c>
    </row>
    <row r="20" spans="1:14" x14ac:dyDescent="0.25">
      <c r="H20" s="1">
        <v>2024</v>
      </c>
      <c r="I20" s="1">
        <v>2</v>
      </c>
      <c r="J20" s="1" t="s">
        <v>36</v>
      </c>
      <c r="K20" s="1" t="s">
        <v>20</v>
      </c>
      <c r="L20" s="1" t="s">
        <v>31</v>
      </c>
      <c r="M20" s="4">
        <f>IF(E4=2024,"2,75€",0)</f>
        <v>0</v>
      </c>
      <c r="N20" s="1"/>
    </row>
    <row r="21" spans="1:14" x14ac:dyDescent="0.25">
      <c r="A21" s="21" t="s">
        <v>43</v>
      </c>
      <c r="B21" s="21"/>
      <c r="C21" s="21"/>
      <c r="D21" s="21"/>
      <c r="E21" s="21"/>
      <c r="F21" s="21"/>
      <c r="G21" s="21"/>
      <c r="H21" s="1">
        <v>2025</v>
      </c>
      <c r="I21" s="1">
        <v>3</v>
      </c>
      <c r="J21" s="1"/>
      <c r="K21" s="1" t="s">
        <v>21</v>
      </c>
      <c r="L21" s="1" t="s">
        <v>40</v>
      </c>
      <c r="M21" s="4" t="str">
        <f>IF(E4=2025,"2,75€",0)</f>
        <v>2,75€</v>
      </c>
      <c r="N21" s="1" t="s">
        <v>51</v>
      </c>
    </row>
    <row r="22" spans="1:14" x14ac:dyDescent="0.25">
      <c r="A22" s="21" t="s">
        <v>9</v>
      </c>
      <c r="B22" s="21"/>
      <c r="C22" s="21"/>
      <c r="D22" s="21" t="s">
        <v>44</v>
      </c>
      <c r="E22" s="21"/>
      <c r="F22" s="21"/>
      <c r="G22" s="21"/>
      <c r="H22" s="1">
        <v>2026</v>
      </c>
      <c r="I22" s="1">
        <v>4</v>
      </c>
      <c r="J22" s="1"/>
      <c r="K22" s="1"/>
      <c r="L22" s="1"/>
      <c r="M22" s="4">
        <f>IF(E4=2026,0,0)</f>
        <v>0</v>
      </c>
      <c r="N22" s="1"/>
    </row>
    <row r="23" spans="1:14" x14ac:dyDescent="0.25">
      <c r="A23" s="21" t="s">
        <v>20</v>
      </c>
      <c r="B23" s="21"/>
      <c r="C23" s="21"/>
      <c r="D23" s="21" t="s">
        <v>47</v>
      </c>
      <c r="E23" s="21"/>
      <c r="F23" s="21"/>
      <c r="G23" s="21"/>
      <c r="H23" s="1"/>
      <c r="I23" s="1">
        <v>5</v>
      </c>
      <c r="J23" s="1"/>
      <c r="K23" s="1"/>
      <c r="L23" s="1"/>
      <c r="M23" s="1"/>
      <c r="N23" s="1"/>
    </row>
    <row r="24" spans="1:14" x14ac:dyDescent="0.25">
      <c r="A24" s="21" t="s">
        <v>21</v>
      </c>
      <c r="B24" s="21"/>
      <c r="C24" s="21"/>
      <c r="D24" s="21" t="s">
        <v>48</v>
      </c>
      <c r="E24" s="21"/>
      <c r="F24" s="21"/>
      <c r="G24" s="21"/>
      <c r="H24" s="1"/>
      <c r="I24" s="1">
        <v>6</v>
      </c>
      <c r="J24" s="1"/>
      <c r="K24" s="1"/>
      <c r="L24" s="1"/>
      <c r="M24" s="1"/>
      <c r="N24" s="1"/>
    </row>
    <row r="25" spans="1:14" x14ac:dyDescent="0.25">
      <c r="A25" s="21" t="s">
        <v>31</v>
      </c>
      <c r="B25" s="21"/>
      <c r="C25" s="21"/>
      <c r="D25" s="21" t="s">
        <v>45</v>
      </c>
      <c r="E25" s="21"/>
      <c r="F25" s="21"/>
      <c r="G25" s="21"/>
      <c r="H25" s="1"/>
      <c r="I25" s="1">
        <v>7</v>
      </c>
      <c r="J25" s="1"/>
      <c r="K25" s="1"/>
      <c r="L25" s="1"/>
      <c r="M25" s="1"/>
      <c r="N25" s="1"/>
    </row>
    <row r="26" spans="1:14" x14ac:dyDescent="0.25">
      <c r="A26" s="21" t="s">
        <v>40</v>
      </c>
      <c r="B26" s="21"/>
      <c r="C26" s="21"/>
      <c r="D26" s="21" t="s">
        <v>46</v>
      </c>
      <c r="E26" s="21"/>
      <c r="F26" s="21"/>
      <c r="G26" s="21"/>
      <c r="H26" s="1"/>
      <c r="I26" s="1">
        <v>8</v>
      </c>
      <c r="J26" s="1"/>
      <c r="K26" s="1"/>
      <c r="L26" s="1"/>
      <c r="M26" s="1" t="s">
        <v>51</v>
      </c>
      <c r="N26" s="1" t="s">
        <v>52</v>
      </c>
    </row>
    <row r="27" spans="1:14" x14ac:dyDescent="0.25">
      <c r="H27" s="1"/>
      <c r="I27" s="1">
        <v>9</v>
      </c>
      <c r="J27" s="1"/>
      <c r="K27" s="1"/>
      <c r="L27" s="1"/>
      <c r="M27" s="1" t="str">
        <f>IF(E4=2025,"6,00€","0")</f>
        <v>6,00€</v>
      </c>
      <c r="N27" s="30">
        <f>M27+M28</f>
        <v>6</v>
      </c>
    </row>
    <row r="28" spans="1:14" x14ac:dyDescent="0.25">
      <c r="H28" s="1"/>
      <c r="I28" s="1">
        <v>10</v>
      </c>
      <c r="J28" s="1"/>
      <c r="K28" s="1"/>
      <c r="L28" s="1"/>
      <c r="M28" s="1" t="str">
        <f>IF(E4=2026,"8,00€","0")</f>
        <v>0</v>
      </c>
      <c r="N28" s="1"/>
    </row>
    <row r="29" spans="1:14" x14ac:dyDescent="0.25">
      <c r="H29" s="1"/>
      <c r="I29" s="1"/>
      <c r="J29" s="1"/>
      <c r="K29" s="1"/>
      <c r="L29" s="1"/>
      <c r="M29" s="1"/>
      <c r="N29" s="1"/>
    </row>
    <row r="30" spans="1:14" x14ac:dyDescent="0.25">
      <c r="H30" s="1"/>
      <c r="I30" s="1"/>
      <c r="J30" s="1"/>
      <c r="K30" s="1"/>
      <c r="L30" s="1"/>
      <c r="M30" s="1"/>
      <c r="N30" s="1"/>
    </row>
    <row r="31" spans="1:14" x14ac:dyDescent="0.25">
      <c r="H31" s="29"/>
      <c r="I31" s="29"/>
      <c r="J31" s="29"/>
      <c r="K31" s="29"/>
      <c r="L31" s="29"/>
      <c r="M31" s="29"/>
      <c r="N31" s="29"/>
    </row>
    <row r="32" spans="1:14" x14ac:dyDescent="0.25">
      <c r="H32" s="29"/>
      <c r="I32" s="29"/>
      <c r="J32" s="29"/>
      <c r="K32" s="29"/>
      <c r="L32" s="29"/>
      <c r="M32" s="29"/>
      <c r="N32" s="29"/>
    </row>
    <row r="33" spans="8:14" x14ac:dyDescent="0.25">
      <c r="H33" s="29"/>
      <c r="I33" s="29"/>
      <c r="J33" s="29"/>
      <c r="K33" s="29"/>
      <c r="L33" s="29"/>
      <c r="M33" s="29"/>
      <c r="N33" s="29"/>
    </row>
    <row r="34" spans="8:14" x14ac:dyDescent="0.25">
      <c r="H34" s="29"/>
      <c r="I34" s="29"/>
      <c r="J34" s="29"/>
      <c r="K34" s="29"/>
      <c r="L34" s="29"/>
      <c r="M34" s="29"/>
      <c r="N34" s="29"/>
    </row>
    <row r="35" spans="8:14" x14ac:dyDescent="0.25">
      <c r="H35" s="29"/>
      <c r="I35" s="29"/>
      <c r="J35" s="29"/>
      <c r="K35" s="29"/>
      <c r="L35" s="29"/>
      <c r="M35" s="29"/>
      <c r="N35" s="29"/>
    </row>
    <row r="36" spans="8:14" x14ac:dyDescent="0.25">
      <c r="H36" s="29"/>
      <c r="I36" s="29"/>
      <c r="J36" s="29"/>
      <c r="K36" s="29"/>
      <c r="L36" s="29"/>
      <c r="M36" s="29"/>
      <c r="N36" s="29"/>
    </row>
    <row r="37" spans="8:14" x14ac:dyDescent="0.25">
      <c r="H37" s="29"/>
      <c r="I37" s="29"/>
      <c r="J37" s="29"/>
      <c r="K37" s="29"/>
      <c r="L37" s="29"/>
      <c r="M37" s="29"/>
      <c r="N37" s="29"/>
    </row>
    <row r="38" spans="8:14" x14ac:dyDescent="0.25">
      <c r="H38" s="29"/>
      <c r="I38" s="29"/>
      <c r="J38" s="29"/>
      <c r="K38" s="29"/>
      <c r="L38" s="29"/>
      <c r="M38" s="29"/>
      <c r="N38" s="29"/>
    </row>
    <row r="39" spans="8:14" x14ac:dyDescent="0.25">
      <c r="H39" s="29"/>
      <c r="I39" s="29"/>
      <c r="J39" s="29"/>
      <c r="K39" s="29"/>
      <c r="L39" s="29"/>
      <c r="M39" s="29"/>
      <c r="N39" s="29"/>
    </row>
    <row r="40" spans="8:14" x14ac:dyDescent="0.25">
      <c r="H40" s="29"/>
      <c r="I40" s="29"/>
      <c r="J40" s="29"/>
      <c r="K40" s="29"/>
      <c r="L40" s="29"/>
      <c r="M40" s="29"/>
      <c r="N40" s="29"/>
    </row>
    <row r="41" spans="8:14" x14ac:dyDescent="0.25">
      <c r="H41" s="29"/>
      <c r="I41" s="29"/>
      <c r="J41" s="29"/>
      <c r="K41" s="29"/>
      <c r="L41" s="29"/>
      <c r="M41" s="29"/>
      <c r="N41" s="29"/>
    </row>
    <row r="42" spans="8:14" x14ac:dyDescent="0.25">
      <c r="H42" s="29"/>
      <c r="I42" s="29"/>
      <c r="J42" s="29"/>
      <c r="K42" s="29"/>
      <c r="L42" s="29"/>
      <c r="M42" s="29"/>
      <c r="N42" s="29"/>
    </row>
    <row r="43" spans="8:14" x14ac:dyDescent="0.25">
      <c r="H43" s="29"/>
      <c r="I43" s="29"/>
      <c r="J43" s="29"/>
      <c r="K43" s="29"/>
      <c r="L43" s="29"/>
      <c r="M43" s="29"/>
      <c r="N43" s="29"/>
    </row>
    <row r="44" spans="8:14" x14ac:dyDescent="0.25">
      <c r="H44" s="29"/>
      <c r="I44" s="29"/>
      <c r="J44" s="29"/>
      <c r="K44" s="29"/>
      <c r="L44" s="29"/>
      <c r="M44" s="29"/>
      <c r="N44" s="29"/>
    </row>
    <row r="45" spans="8:14" x14ac:dyDescent="0.25">
      <c r="H45" s="29"/>
      <c r="I45" s="29"/>
      <c r="J45" s="29"/>
      <c r="K45" s="29"/>
      <c r="L45" s="29"/>
      <c r="M45" s="29"/>
      <c r="N45" s="29"/>
    </row>
    <row r="46" spans="8:14" x14ac:dyDescent="0.25">
      <c r="H46" s="29"/>
      <c r="I46" s="29"/>
      <c r="J46" s="29"/>
      <c r="K46" s="29"/>
      <c r="L46" s="29"/>
      <c r="M46" s="29"/>
      <c r="N46" s="29"/>
    </row>
    <row r="47" spans="8:14" x14ac:dyDescent="0.25">
      <c r="H47" s="29"/>
      <c r="I47" s="29"/>
      <c r="J47" s="29"/>
      <c r="K47" s="29"/>
      <c r="L47" s="29"/>
      <c r="M47" s="29"/>
      <c r="N47" s="29"/>
    </row>
    <row r="48" spans="8:14" x14ac:dyDescent="0.25">
      <c r="H48" s="29"/>
      <c r="I48" s="29"/>
      <c r="J48" s="29"/>
      <c r="K48" s="29"/>
      <c r="L48" s="29"/>
      <c r="M48" s="29"/>
      <c r="N48" s="29"/>
    </row>
    <row r="49" spans="8:14" x14ac:dyDescent="0.25">
      <c r="H49" s="29"/>
      <c r="I49" s="29"/>
      <c r="J49" s="29"/>
      <c r="K49" s="29"/>
      <c r="L49" s="29"/>
      <c r="M49" s="29"/>
      <c r="N49" s="29"/>
    </row>
    <row r="50" spans="8:14" x14ac:dyDescent="0.25">
      <c r="H50" s="29"/>
      <c r="I50" s="29"/>
      <c r="J50" s="29"/>
      <c r="K50" s="29"/>
      <c r="L50" s="29"/>
      <c r="M50" s="29"/>
      <c r="N50" s="29"/>
    </row>
    <row r="51" spans="8:14" x14ac:dyDescent="0.25">
      <c r="H51" s="29"/>
      <c r="I51" s="29"/>
      <c r="J51" s="29"/>
      <c r="K51" s="29"/>
      <c r="L51" s="29"/>
      <c r="M51" s="29"/>
      <c r="N51" s="29"/>
    </row>
    <row r="52" spans="8:14" x14ac:dyDescent="0.25">
      <c r="H52" s="29"/>
      <c r="I52" s="29"/>
      <c r="J52" s="29"/>
      <c r="K52" s="29"/>
      <c r="L52" s="29"/>
      <c r="M52" s="29"/>
      <c r="N52" s="29"/>
    </row>
    <row r="53" spans="8:14" x14ac:dyDescent="0.25">
      <c r="H53" s="29"/>
      <c r="I53" s="29"/>
      <c r="J53" s="29"/>
      <c r="K53" s="29"/>
      <c r="L53" s="29"/>
      <c r="M53" s="29"/>
      <c r="N53" s="29"/>
    </row>
    <row r="54" spans="8:14" x14ac:dyDescent="0.25">
      <c r="H54" s="29"/>
      <c r="I54" s="29"/>
      <c r="J54" s="29"/>
      <c r="K54" s="29"/>
      <c r="L54" s="29"/>
      <c r="M54" s="29"/>
      <c r="N54" s="29"/>
    </row>
    <row r="55" spans="8:14" x14ac:dyDescent="0.25">
      <c r="H55" s="29"/>
      <c r="I55" s="29"/>
      <c r="J55" s="29"/>
      <c r="K55" s="29"/>
      <c r="L55" s="29"/>
      <c r="M55" s="29"/>
      <c r="N55" s="29"/>
    </row>
    <row r="56" spans="8:14" x14ac:dyDescent="0.25">
      <c r="H56" s="29"/>
      <c r="I56" s="29"/>
      <c r="J56" s="29"/>
      <c r="K56" s="29"/>
      <c r="L56" s="29"/>
      <c r="M56" s="29"/>
      <c r="N56" s="29"/>
    </row>
    <row r="57" spans="8:14" x14ac:dyDescent="0.25">
      <c r="H57" s="29"/>
      <c r="I57" s="29"/>
      <c r="J57" s="29"/>
      <c r="K57" s="29"/>
      <c r="L57" s="29"/>
      <c r="M57" s="29"/>
      <c r="N57" s="29"/>
    </row>
    <row r="58" spans="8:14" x14ac:dyDescent="0.25">
      <c r="H58" s="29"/>
      <c r="I58" s="29"/>
      <c r="J58" s="29"/>
      <c r="K58" s="29"/>
      <c r="L58" s="29"/>
      <c r="M58" s="29"/>
      <c r="N58" s="29"/>
    </row>
  </sheetData>
  <sheetProtection sheet="1" objects="1" scenarios="1" selectLockedCells="1"/>
  <mergeCells count="27">
    <mergeCell ref="A26:C26"/>
    <mergeCell ref="D26:G26"/>
    <mergeCell ref="A21:G21"/>
    <mergeCell ref="A22:C22"/>
    <mergeCell ref="D22:G22"/>
    <mergeCell ref="A23:C23"/>
    <mergeCell ref="D23:G23"/>
    <mergeCell ref="A24:C24"/>
    <mergeCell ref="D24:G24"/>
    <mergeCell ref="A25:C25"/>
    <mergeCell ref="D25:G25"/>
    <mergeCell ref="A17:D17"/>
    <mergeCell ref="F16:G16"/>
    <mergeCell ref="F17:G17"/>
    <mergeCell ref="A10:D10"/>
    <mergeCell ref="A11:D11"/>
    <mergeCell ref="H1:N2"/>
    <mergeCell ref="A16:D16"/>
    <mergeCell ref="A1:G2"/>
    <mergeCell ref="A12:D12"/>
    <mergeCell ref="A3:G3"/>
    <mergeCell ref="A4:D4"/>
    <mergeCell ref="A5:D5"/>
    <mergeCell ref="A6:D6"/>
    <mergeCell ref="A7:D7"/>
    <mergeCell ref="A8:D8"/>
    <mergeCell ref="A9:D9"/>
  </mergeCells>
  <dataValidations count="5">
    <dataValidation type="list" allowBlank="1" showInputMessage="1" showErrorMessage="1" sqref="E4" xr:uid="{00000000-0002-0000-0000-000000000000}">
      <formula1>$H$21:$H$22</formula1>
    </dataValidation>
    <dataValidation type="list" allowBlank="1" showInputMessage="1" showErrorMessage="1" sqref="E5" xr:uid="{00000000-0002-0000-0000-000001000000}">
      <formula1>$I$19:$I$28</formula1>
    </dataValidation>
    <dataValidation type="list" allowBlank="1" showInputMessage="1" showErrorMessage="1" sqref="E6" xr:uid="{00000000-0002-0000-0000-000002000000}">
      <formula1>$J$19:$J$20</formula1>
    </dataValidation>
    <dataValidation type="list" allowBlank="1" showInputMessage="1" showErrorMessage="1" sqref="E11" xr:uid="{00000000-0002-0000-0000-000003000000}">
      <formula1>$K$19:$K$21</formula1>
    </dataValidation>
    <dataValidation type="list" allowBlank="1" showInputMessage="1" showErrorMessage="1" sqref="E12" xr:uid="{00000000-0002-0000-0000-000004000000}">
      <formula1>$L$19:$L$21</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 Hüttebräucker</dc:creator>
  <cp:lastModifiedBy>Timo Hüttebräucker</cp:lastModifiedBy>
  <dcterms:created xsi:type="dcterms:W3CDTF">2022-09-07T08:40:42Z</dcterms:created>
  <dcterms:modified xsi:type="dcterms:W3CDTF">2025-01-29T13:56:57Z</dcterms:modified>
</cp:coreProperties>
</file>